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<sst xmlns="http://schemas.openxmlformats.org/spreadsheetml/2006/main" count="1829" uniqueCount="278">
  <si>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</si>
  <si>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</si>
  <si>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</si>
  <si>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</si>
  <si>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</si>
  <si>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</si>
  <si>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</si>
  <si>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</si>
  <si>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</si>
  <si>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</si>
  <si>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</si>
  <si>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</si>
  <si>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</si>
  <si>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</si>
  <si>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</si>
  <si>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</si>
  <si>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</si>
  <si>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</si>
  <si>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</si>
  <si>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</si>
  <si>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</si>
  <si>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</si>
  <si>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</si>
  <si>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</si>
  <si>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</si>
  <si>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</si>
  <si>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</si>
  <si>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</si>
  <si>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</si>
  <si>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</si>
  <si>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</si>
  <si>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</si>
  <si>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</si>
  <si>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</si>
  <si>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</si>
  <si>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</si>
  <si>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</si>
  <si>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</si>
  <si>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</si>
  <si>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</si>
  <si>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</si>
  <si>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</si>
  <si>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</si>
  <si>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</si>
  <si>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</si>
  <si>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</si>
  <si>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</si>
  <si>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</si>
  <si>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</si>
  <si>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</si>
  <si>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</si>
  <si>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</si>
  <si>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</si>
  <si>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</si>
  <si>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</si>
  <si>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</si>
  <si>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</si>
  <si>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</si>
  <si>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</si>
  <si>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</si>
  <si>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</si>
  <si>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</si>
  <si>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</si>
  <si>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</si>
  <si>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</si>
  <si>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</si>
  <si>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</si>
  <si>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</si>
  <si>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</si>
  <si>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</si>
  <si>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</si>
  <si>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</si>
  <si>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</si>
  <si>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</si>
  <si>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</si>
  <si>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</si>
  <si>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</si>
  <si>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</si>
  <si>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</si>
  <si>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</si>
  <si>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</si>
  <si>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</si>
  <si>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</si>
  <si>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</si>
  <si>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</si>
  <si>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</si>
  <si>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</si>
  <si>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</si>
  <si>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</si>
  <si>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</si>
  <si>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</si>
  <si>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</si>
  <si>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</si>
  <si>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</si>
  <si>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</si>
  <si>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</si>
  <si>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</si>
  <si>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</si>
  <si>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</si>
  <si>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</si>
  <si>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</si>
  <si>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</si>
  <si>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</si>
  <si>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</si>
  <si>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</si>
  <si>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</si>
  <si>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</si>
  <si>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</si>
  <si>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</si>
  <si>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</si>
  <si>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</si>
  <si>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</si>
  <si>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</si>
  <si>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</si>
  <si>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</si>
  <si>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</si>
  <si>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</si>
  <si>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</si>
  <si>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</si>
  <si>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</si>
  <si>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</si>
  <si>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</si>
  <si>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</si>
  <si>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</si>
  <si>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</si>
  <si>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</si>
  <si>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</si>
  <si>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</si>
  <si>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</si>
  <si>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</si>
  <si>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</si>
  <si>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</si>
  <si>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</si>
  <si>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</si>
  <si>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</si>
  <si>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</si>
  <si>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</si>
  <si>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</si>
  <si>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</si>
  <si>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</si>
  <si>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</si>
  <si>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</si>
  <si>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</si>
  <si>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</si>
  <si>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</si>
  <si>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</si>
  <si>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</si>
  <si>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</si>
  <si>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</si>
  <si>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</si>
  <si>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</si>
  <si>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</si>
  <si>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</si>
  <si>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</si>
  <si>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</si>
  <si>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</si>
  <si>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</si>
  <si>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</si>
  <si>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</si>
  <si>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</si>
  <si>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</si>
  <si>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</si>
  <si>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</si>
  <si>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</si>
  <si>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</si>
  <si>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</si>
  <si>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</si>
  <si>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</si>
  <si>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</si>
  <si>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</si>
  <si>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</si>
  <si>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</si>
  <si>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</si>
  <si>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</si>
  <si>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</si>
  <si>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</si>
  <si>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</si>
  <si>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</si>
  <si>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</si>
  <si>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</si>
  <si>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</si>
  <si>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</si>
  <si>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</si>
  <si>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</si>
  <si>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</si>
  <si>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</si>
  <si>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</si>
  <si>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</si>
  <si>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</si>
  <si>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</si>
  <si>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</si>
  <si>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</si>
  <si>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</si>
  <si>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</si>
  <si>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</si>
  <si>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</si>
  <si>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</si>
  <si>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</si>
  <si>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</si>
  <si>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</si>
  <si>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</si>
  <si>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</si>
  <si>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</si>
  <si>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</si>
  <si>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</si>
  <si>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</si>
  <si>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</si>
  <si>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</si>
  <si>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</si>
  <si>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</si>
  <si>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</si>
  <si>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</si>
  <si>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</si>
  <si>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</si>
  <si>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</si>
  <si>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</si>
  <si>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</si>
  <si>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</si>
  <si>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</si>
  <si>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</si>
  <si>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</si>
  <si>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</si>
  <si>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</si>
  <si>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</si>
  <si>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</si>
  <si>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</si>
  <si>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</si>
  <si>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</si>
  <si>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</si>
  <si>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</si>
  <si>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</si>
  <si>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</si>
  <si>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</si>
  <si>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</si>
  <si>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</si>
  <si>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</si>
  <si>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</si>
  <si>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</si>
  <si>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</si>
  <si>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</si>
  <si>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</si>
  <si>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</si>
  <si>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</si>
  <si>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</si>
  <si>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</si>
  <si>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</si>
  <si>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</si>
  <si>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</si>
  <si>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</si>
  <si>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</si>
  <si>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</si>
  <si>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</si>
  <si>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</si>
  <si>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</si>
  <si>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</si>
  <si>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</si>
  <si>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</si>
  <si>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</si>
  <si>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</si>
  <si>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</si>
  <si>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</si>
  <si>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</si>
  <si>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</si>
  <si>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</si>
  <si>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</si>
  <si>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</si>
  <si>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</si>
  <si>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</si>
  <si>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</si>
  <si>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</si>
  <si>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</si>
  <si>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</si>
  <si>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</si>
  <si>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</si>
  <si>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</si>
  <si>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</si>
  <si>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</si>
  <si>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19.09.14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</si>
</sst>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6">
          <cell r="G6">
            <v>121915082.96</v>
          </cell>
        </row>
        <row r="8">
          <cell r="G8">
            <v>0</v>
          </cell>
        </row>
        <row r="9">
          <cell r="G9">
            <v>9020596.530000001</v>
          </cell>
        </row>
        <row r="10">
          <cell r="G10">
            <v>112894486.42999999</v>
          </cell>
        </row>
      </sheetData>
      <sheetData sheetId="13">
        <row r="52">
          <cell r="B52">
            <v>17126613.649999995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147" sqref="N147:O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331142.14999999997</v>
      </c>
      <c r="G8" s="22">
        <f aca="true" t="shared" si="0" ref="G8:G30">F8-E8</f>
        <v>-20216.649999999965</v>
      </c>
      <c r="H8" s="51">
        <f>F8/E8*100</f>
        <v>94.24615236618523</v>
      </c>
      <c r="I8" s="36">
        <f aca="true" t="shared" si="1" ref="I8:I17">F8-D8</f>
        <v>-157334.15000000002</v>
      </c>
      <c r="J8" s="36">
        <f aca="true" t="shared" si="2" ref="J8:J14">F8/D8*100</f>
        <v>67.79083243137896</v>
      </c>
      <c r="K8" s="36">
        <f>F8-344287.2</f>
        <v>-13145.050000000047</v>
      </c>
      <c r="L8" s="136">
        <f>F8/344287.2</f>
        <v>0.9618195216087033</v>
      </c>
      <c r="M8" s="22">
        <f>M10+M19+M33+M56+M68+M30</f>
        <v>39345.409999999996</v>
      </c>
      <c r="N8" s="22">
        <f>N10+N19+N33+N56+N68+N30</f>
        <v>22206.379999999997</v>
      </c>
      <c r="O8" s="36">
        <f aca="true" t="shared" si="3" ref="O8:O71">N8-M8</f>
        <v>-17139.03</v>
      </c>
      <c r="P8" s="36">
        <f>F8/M8*100</f>
        <v>841.6284135811521</v>
      </c>
      <c r="Q8" s="36">
        <f>N8-37510.4</f>
        <v>-15304.020000000004</v>
      </c>
      <c r="R8" s="134">
        <f>N8/37510.4</f>
        <v>0.5920059503497695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270690.8</v>
      </c>
      <c r="G9" s="22">
        <f t="shared" si="0"/>
        <v>270690.8</v>
      </c>
      <c r="H9" s="20"/>
      <c r="I9" s="56">
        <f t="shared" si="1"/>
        <v>-116322.40000000002</v>
      </c>
      <c r="J9" s="56">
        <f t="shared" si="2"/>
        <v>69.94355748072675</v>
      </c>
      <c r="K9" s="56"/>
      <c r="L9" s="135"/>
      <c r="M9" s="20">
        <f>M10+M17</f>
        <v>32323.5</v>
      </c>
      <c r="N9" s="20">
        <f>N10+N17</f>
        <v>20412.369999999995</v>
      </c>
      <c r="O9" s="36">
        <f t="shared" si="3"/>
        <v>-11911.130000000005</v>
      </c>
      <c r="P9" s="56">
        <f>F9/M9*100</f>
        <v>837.4427274274135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270690.8</v>
      </c>
      <c r="G10" s="49">
        <f t="shared" si="0"/>
        <v>-16768.70000000001</v>
      </c>
      <c r="H10" s="40">
        <f aca="true" t="shared" si="4" ref="H10:H17">F10/E10*100</f>
        <v>94.16658694529141</v>
      </c>
      <c r="I10" s="56">
        <f t="shared" si="1"/>
        <v>-116322.40000000002</v>
      </c>
      <c r="J10" s="56">
        <f t="shared" si="2"/>
        <v>69.94355748072675</v>
      </c>
      <c r="K10" s="141">
        <f>F10-272674.4</f>
        <v>-1983.600000000035</v>
      </c>
      <c r="L10" s="142">
        <f>F10/272674.4</f>
        <v>0.9927253896955488</v>
      </c>
      <c r="M10" s="40">
        <f>E10-серпень!E10</f>
        <v>32323.5</v>
      </c>
      <c r="N10" s="40">
        <f>F10-серпень!F10</f>
        <v>20412.369999999995</v>
      </c>
      <c r="O10" s="53">
        <f t="shared" si="3"/>
        <v>-11911.130000000005</v>
      </c>
      <c r="P10" s="56">
        <f aca="true" t="shared" si="5" ref="P10:P17">N10/M10*100</f>
        <v>63.1502467245193</v>
      </c>
      <c r="Q10" s="141">
        <f>N10-29967.1</f>
        <v>-9554.730000000003</v>
      </c>
      <c r="R10" s="142">
        <f>N10/29967.1</f>
        <v>0.6811593380740878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56046</v>
      </c>
      <c r="G33" s="49">
        <f aca="true" t="shared" si="14" ref="G33:G72">F33-E33</f>
        <v>-1656.0999999999985</v>
      </c>
      <c r="H33" s="40">
        <f aca="true" t="shared" si="15" ref="H33:H67">F33/E33*100</f>
        <v>97.12991381596164</v>
      </c>
      <c r="I33" s="56">
        <f>F33-D33</f>
        <v>-37520</v>
      </c>
      <c r="J33" s="56">
        <f aca="true" t="shared" si="16" ref="J33:J72">F33/D33*100</f>
        <v>59.899963662013974</v>
      </c>
      <c r="K33" s="141">
        <f>F33-60413.2</f>
        <v>-4367.199999999997</v>
      </c>
      <c r="L33" s="142">
        <f>F33/60413.2</f>
        <v>0.927711162461184</v>
      </c>
      <c r="M33" s="40">
        <f>E33-серпень!E33</f>
        <v>6401.309999999998</v>
      </c>
      <c r="N33" s="40">
        <f>F33-серпень!F33</f>
        <v>1753.260000000002</v>
      </c>
      <c r="O33" s="53">
        <f t="shared" si="3"/>
        <v>-4648.049999999996</v>
      </c>
      <c r="P33" s="56">
        <f aca="true" t="shared" si="17" ref="P33:P67">N33/M33*100</f>
        <v>27.389081297421974</v>
      </c>
      <c r="Q33" s="141">
        <f>N33-6624.9</f>
        <v>-4871.639999999998</v>
      </c>
      <c r="R33" s="142">
        <f>N33/6624.9</f>
        <v>0.26464701353982734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41675.3</v>
      </c>
      <c r="G55" s="144">
        <f t="shared" si="14"/>
        <v>-796.5399999999936</v>
      </c>
      <c r="H55" s="146">
        <f t="shared" si="15"/>
        <v>98.12454558126045</v>
      </c>
      <c r="I55" s="145">
        <f t="shared" si="18"/>
        <v>-28590.699999999997</v>
      </c>
      <c r="J55" s="145">
        <f t="shared" si="16"/>
        <v>59.31076196168844</v>
      </c>
      <c r="K55" s="148">
        <f>F55-43813.51</f>
        <v>-2138.209999999999</v>
      </c>
      <c r="L55" s="149">
        <f>F55/43813.51</f>
        <v>0.9511974731081806</v>
      </c>
      <c r="M55" s="40">
        <f>E55-серпень!E55</f>
        <v>4681.3499999999985</v>
      </c>
      <c r="N55" s="40">
        <f>F55-серпень!F55</f>
        <v>1535.030000000006</v>
      </c>
      <c r="O55" s="148">
        <f t="shared" si="3"/>
        <v>-3146.3199999999924</v>
      </c>
      <c r="P55" s="148">
        <f t="shared" si="17"/>
        <v>32.790327576447105</v>
      </c>
      <c r="Q55" s="160">
        <f>N55-4961.43</f>
        <v>-3426.399999999994</v>
      </c>
      <c r="R55" s="161">
        <f>N55/7961.43</f>
        <v>0.19280832714725948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v>4816.7</v>
      </c>
      <c r="G56" s="49">
        <f t="shared" si="14"/>
        <v>-296.8000000000002</v>
      </c>
      <c r="H56" s="40">
        <f t="shared" si="15"/>
        <v>94.19575633127994</v>
      </c>
      <c r="I56" s="56">
        <f t="shared" si="18"/>
        <v>-2043.3000000000002</v>
      </c>
      <c r="J56" s="56">
        <f t="shared" si="16"/>
        <v>70.21428571428571</v>
      </c>
      <c r="K56" s="56">
        <f>F56-4694.5</f>
        <v>122.19999999999982</v>
      </c>
      <c r="L56" s="135">
        <f>F56/4694.5</f>
        <v>1.0260304611779743</v>
      </c>
      <c r="M56" s="40">
        <f>E56-серпень!E56</f>
        <v>609.6000000000004</v>
      </c>
      <c r="N56" s="40">
        <f>F56-серпень!F56</f>
        <v>529.4099999999999</v>
      </c>
      <c r="O56" s="53">
        <f t="shared" si="3"/>
        <v>-80.19000000000051</v>
      </c>
      <c r="P56" s="56">
        <f t="shared" si="17"/>
        <v>86.8454724409448</v>
      </c>
      <c r="Q56" s="56">
        <f>N56-556.2</f>
        <v>-26.79000000000019</v>
      </c>
      <c r="R56" s="135">
        <f>N56/556.2</f>
        <v>0.9518338727076587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9631.18</v>
      </c>
      <c r="G74" s="50">
        <f aca="true" t="shared" si="24" ref="G74:G92">F74-E74</f>
        <v>-2548.8199999999997</v>
      </c>
      <c r="H74" s="51">
        <f aca="true" t="shared" si="25" ref="H74:H87">F74/E74*100</f>
        <v>79.07372742200329</v>
      </c>
      <c r="I74" s="36">
        <f aca="true" t="shared" si="26" ref="I74:I92">F74-D74</f>
        <v>-8727.119999999999</v>
      </c>
      <c r="J74" s="36">
        <f aca="true" t="shared" si="27" ref="J74:J92">F74/D74*100</f>
        <v>52.46226502453931</v>
      </c>
      <c r="K74" s="36">
        <f>F74-14585.4</f>
        <v>-4954.219999999999</v>
      </c>
      <c r="L74" s="136">
        <f>F74/14585.4</f>
        <v>0.6603301932069056</v>
      </c>
      <c r="M74" s="22">
        <f>M77+M86+M88+M89+M94+M95+M96+M97+M99+M87+M104</f>
        <v>1580.5</v>
      </c>
      <c r="N74" s="22">
        <f>N77+N86+N88+N89+N94+N95+N96+N97+N99+N32+N104+N87+N103</f>
        <v>1021.45</v>
      </c>
      <c r="O74" s="55">
        <f aca="true" t="shared" si="28" ref="O74:O92">N74-M74</f>
        <v>-559.05</v>
      </c>
      <c r="P74" s="36">
        <f>N74/M74*100</f>
        <v>64.62828218918064</v>
      </c>
      <c r="Q74" s="36">
        <f>N74-1622.9</f>
        <v>-601.45</v>
      </c>
      <c r="R74" s="136">
        <f>N74/1622.9</f>
        <v>0.6293979912502311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255.84</v>
      </c>
      <c r="G87" s="49">
        <f t="shared" si="24"/>
        <v>35.84</v>
      </c>
      <c r="H87" s="40">
        <f t="shared" si="25"/>
        <v>116.29090909090908</v>
      </c>
      <c r="I87" s="56">
        <f t="shared" si="26"/>
        <v>-244.16</v>
      </c>
      <c r="J87" s="56">
        <f t="shared" si="27"/>
        <v>51.168</v>
      </c>
      <c r="K87" s="56">
        <f>F87-210.3</f>
        <v>45.53999999999999</v>
      </c>
      <c r="L87" s="135">
        <f>F87/210.3</f>
        <v>1.2165477888730385</v>
      </c>
      <c r="M87" s="40">
        <f>E87-серпень!E87</f>
        <v>0</v>
      </c>
      <c r="N87" s="40">
        <f>F87-серпень!F87</f>
        <v>0.06999999999999318</v>
      </c>
      <c r="O87" s="53">
        <f t="shared" si="28"/>
        <v>0.06999999999999318</v>
      </c>
      <c r="P87" s="56" t="e">
        <f t="shared" si="29"/>
        <v>#DIV/0!</v>
      </c>
      <c r="Q87" s="56">
        <f>N87-12.4</f>
        <v>-12.330000000000007</v>
      </c>
      <c r="R87" s="135">
        <f>N87/12.4</f>
        <v>0.00564516129032203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95.42</v>
      </c>
      <c r="G89" s="49">
        <f t="shared" si="24"/>
        <v>-33.58</v>
      </c>
      <c r="H89" s="40">
        <f>F89/E89*100</f>
        <v>73.96899224806202</v>
      </c>
      <c r="I89" s="56">
        <f t="shared" si="26"/>
        <v>-79.58</v>
      </c>
      <c r="J89" s="56">
        <f t="shared" si="27"/>
        <v>54.52571428571429</v>
      </c>
      <c r="K89" s="56">
        <f>F89-123.2</f>
        <v>-27.78</v>
      </c>
      <c r="L89" s="135">
        <f>F89/123.2</f>
        <v>0.774512987012987</v>
      </c>
      <c r="M89" s="40">
        <f>E89-серпень!E89</f>
        <v>15</v>
      </c>
      <c r="N89" s="40">
        <f>F89-серпень!F89</f>
        <v>13.060000000000002</v>
      </c>
      <c r="O89" s="53">
        <f t="shared" si="28"/>
        <v>-1.9399999999999977</v>
      </c>
      <c r="P89" s="56">
        <f>N89/M89*100</f>
        <v>87.06666666666668</v>
      </c>
      <c r="Q89" s="56">
        <f>N89-14.8</f>
        <v>-1.7399999999999984</v>
      </c>
      <c r="R89" s="135">
        <f>N89/14.8</f>
        <v>0.8824324324324325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752.5</v>
      </c>
      <c r="G96" s="49">
        <f t="shared" si="31"/>
        <v>-42</v>
      </c>
      <c r="H96" s="40">
        <f>F96/E96*100</f>
        <v>94.7136563876652</v>
      </c>
      <c r="I96" s="56">
        <f t="shared" si="32"/>
        <v>-447.5</v>
      </c>
      <c r="J96" s="56">
        <f>F96/D96*100</f>
        <v>62.708333333333336</v>
      </c>
      <c r="K96" s="56">
        <f>F96-795.5</f>
        <v>-43</v>
      </c>
      <c r="L96" s="135">
        <f>F96/795.5</f>
        <v>0.9459459459459459</v>
      </c>
      <c r="M96" s="40">
        <f>E96-серпень!E96</f>
        <v>100</v>
      </c>
      <c r="N96" s="40">
        <f>F96-серпень!F96</f>
        <v>66.84000000000003</v>
      </c>
      <c r="O96" s="53">
        <f t="shared" si="33"/>
        <v>-33.15999999999997</v>
      </c>
      <c r="P96" s="56">
        <f>N96/M96*100</f>
        <v>66.84000000000003</v>
      </c>
      <c r="Q96" s="56">
        <f>N96-102.1</f>
        <v>-35.25999999999996</v>
      </c>
      <c r="R96" s="135">
        <f>N96/102.1</f>
        <v>0.6546523016650346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3014.4</v>
      </c>
      <c r="G99" s="49">
        <f t="shared" si="31"/>
        <v>7.400000000000091</v>
      </c>
      <c r="H99" s="40">
        <f>F99/E99*100</f>
        <v>100.2460924509478</v>
      </c>
      <c r="I99" s="56">
        <f t="shared" si="32"/>
        <v>-1558.2999999999997</v>
      </c>
      <c r="J99" s="56">
        <f>F99/D99*100</f>
        <v>65.9216655367726</v>
      </c>
      <c r="K99" s="56">
        <f>F99-3411.3</f>
        <v>-396.9000000000001</v>
      </c>
      <c r="L99" s="135">
        <f>F99/3411.3</f>
        <v>0.8836513938967548</v>
      </c>
      <c r="M99" s="40">
        <f>E99-серпень!E99</f>
        <v>410</v>
      </c>
      <c r="N99" s="40">
        <f>F99-серпень!F99</f>
        <v>311.74000000000024</v>
      </c>
      <c r="O99" s="53">
        <f t="shared" si="33"/>
        <v>-98.25999999999976</v>
      </c>
      <c r="P99" s="56">
        <f>N99/M99*100</f>
        <v>76.03414634146347</v>
      </c>
      <c r="Q99" s="56">
        <f>N99-432.2</f>
        <v>-120.45999999999975</v>
      </c>
      <c r="R99" s="135">
        <f>N99/432.2</f>
        <v>0.7212864414622866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750.8</v>
      </c>
      <c r="G102" s="144"/>
      <c r="H102" s="146"/>
      <c r="I102" s="145"/>
      <c r="J102" s="145"/>
      <c r="K102" s="148">
        <f>F102-545.2</f>
        <v>205.5999999999999</v>
      </c>
      <c r="L102" s="149">
        <f>F102/545.2</f>
        <v>1.3771093176815845</v>
      </c>
      <c r="M102" s="40">
        <f>E102-серпень!E102</f>
        <v>0</v>
      </c>
      <c r="N102" s="40">
        <f>F102-серпень!F102</f>
        <v>115</v>
      </c>
      <c r="O102" s="53"/>
      <c r="P102" s="60"/>
      <c r="Q102" s="60">
        <f>N102-124.1</f>
        <v>-9.099999999999994</v>
      </c>
      <c r="R102" s="138">
        <f>N102/124.1</f>
        <v>0.9266720386784851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-47.980000000000004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17.52</v>
      </c>
      <c r="G105" s="49">
        <f>F105-E105</f>
        <v>-6.68</v>
      </c>
      <c r="H105" s="40">
        <f>F105/E105*100</f>
        <v>72.39669421487604</v>
      </c>
      <c r="I105" s="56">
        <f t="shared" si="34"/>
        <v>-27.48</v>
      </c>
      <c r="J105" s="56">
        <f aca="true" t="shared" si="36" ref="J105:J110">F105/D105*100</f>
        <v>38.93333333333333</v>
      </c>
      <c r="K105" s="56">
        <f>F105-13.4</f>
        <v>4.119999999999999</v>
      </c>
      <c r="L105" s="135">
        <f>F105/13.4</f>
        <v>1.3074626865671641</v>
      </c>
      <c r="M105" s="40">
        <f>E105-серпень!E105</f>
        <v>3</v>
      </c>
      <c r="N105" s="40">
        <f>F105-серпень!F105</f>
        <v>0.28999999999999915</v>
      </c>
      <c r="O105" s="53">
        <f t="shared" si="35"/>
        <v>-2.710000000000001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340791.22</v>
      </c>
      <c r="G107" s="50">
        <f>F107-E107</f>
        <v>-22771.77999999997</v>
      </c>
      <c r="H107" s="51">
        <f>F107/E107*100</f>
        <v>93.73649683823713</v>
      </c>
      <c r="I107" s="36">
        <f t="shared" si="34"/>
        <v>-166088.38</v>
      </c>
      <c r="J107" s="36">
        <f t="shared" si="36"/>
        <v>67.2331693759228</v>
      </c>
      <c r="K107" s="36">
        <f>F107-358888.5</f>
        <v>-18097.280000000028</v>
      </c>
      <c r="L107" s="136">
        <f>F107/358888.5</f>
        <v>0.9495740877737793</v>
      </c>
      <c r="M107" s="22">
        <f>M8+M74+M105+M106</f>
        <v>40928.909999999996</v>
      </c>
      <c r="N107" s="22">
        <f>N8+N74+N105+N106</f>
        <v>23228.12</v>
      </c>
      <c r="O107" s="55">
        <f t="shared" si="35"/>
        <v>-17700.789999999997</v>
      </c>
      <c r="P107" s="36">
        <f>N107/M107*100</f>
        <v>56.75235426499265</v>
      </c>
      <c r="Q107" s="36">
        <f>N107-39133.2</f>
        <v>-15905.079999999998</v>
      </c>
      <c r="R107" s="136">
        <f>N107/39133.2</f>
        <v>0.5935655658111272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271443.3</v>
      </c>
      <c r="G108" s="71">
        <f>G10-G18+G96</f>
        <v>-16810.70000000001</v>
      </c>
      <c r="H108" s="72">
        <f>F108/E108*100</f>
        <v>94.1680948052759</v>
      </c>
      <c r="I108" s="52">
        <f t="shared" si="34"/>
        <v>-116769.90000000002</v>
      </c>
      <c r="J108" s="52">
        <f t="shared" si="36"/>
        <v>69.92119278788047</v>
      </c>
      <c r="K108" s="52">
        <f>F108-273558.9</f>
        <v>-2115.600000000035</v>
      </c>
      <c r="L108" s="137">
        <f>F108/273558.9</f>
        <v>0.9922663821209983</v>
      </c>
      <c r="M108" s="71">
        <f>M10-M18+M96</f>
        <v>32423.5</v>
      </c>
      <c r="N108" s="71">
        <f>N10-N18+N96</f>
        <v>20479.209999999995</v>
      </c>
      <c r="O108" s="53">
        <f t="shared" si="35"/>
        <v>-11944.290000000005</v>
      </c>
      <c r="P108" s="52">
        <f>N108/M108*100</f>
        <v>63.16162659799218</v>
      </c>
      <c r="Q108" s="52">
        <f>N108-30069.2</f>
        <v>-9589.990000000005</v>
      </c>
      <c r="R108" s="137">
        <f>N108/30069.2</f>
        <v>0.6810693334042807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69347.91999999998</v>
      </c>
      <c r="G109" s="62">
        <f>F109-E109</f>
        <v>-5961.079999999958</v>
      </c>
      <c r="H109" s="72">
        <f>F109/E109*100</f>
        <v>92.08450517202465</v>
      </c>
      <c r="I109" s="52">
        <f t="shared" si="34"/>
        <v>-49318.47999999998</v>
      </c>
      <c r="J109" s="52">
        <f t="shared" si="36"/>
        <v>58.439389751437645</v>
      </c>
      <c r="K109" s="52">
        <f>F109-85329.7</f>
        <v>-15981.780000000013</v>
      </c>
      <c r="L109" s="137">
        <f>F109/85329.7</f>
        <v>0.8127055409781118</v>
      </c>
      <c r="M109" s="71">
        <f>M107-M108</f>
        <v>8505.409999999996</v>
      </c>
      <c r="N109" s="71">
        <f>N107-N108</f>
        <v>2748.9100000000035</v>
      </c>
      <c r="O109" s="53">
        <f t="shared" si="35"/>
        <v>-5756.499999999993</v>
      </c>
      <c r="P109" s="52">
        <f>N109/M109*100</f>
        <v>32.31954720583728</v>
      </c>
      <c r="Q109" s="52">
        <f>N109-9064</f>
        <v>-6315.0899999999965</v>
      </c>
      <c r="R109" s="137">
        <f>N109/9064</f>
        <v>0.30327780229479295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271443.3</v>
      </c>
      <c r="G110" s="111">
        <f>F110-E110</f>
        <v>-11440.799999999988</v>
      </c>
      <c r="H110" s="72">
        <f>F110/E110*100</f>
        <v>95.95565816530515</v>
      </c>
      <c r="I110" s="81">
        <f t="shared" si="34"/>
        <v>-116769.90000000002</v>
      </c>
      <c r="J110" s="52">
        <f t="shared" si="36"/>
        <v>69.92119278788047</v>
      </c>
      <c r="K110" s="52"/>
      <c r="L110" s="137"/>
      <c r="M110" s="72">
        <f>E110-серпень!E110</f>
        <v>32423.49999999997</v>
      </c>
      <c r="N110" s="71">
        <f>N108</f>
        <v>20479.209999999995</v>
      </c>
      <c r="O110" s="63">
        <f t="shared" si="35"/>
        <v>-11944.289999999975</v>
      </c>
      <c r="P110" s="52">
        <f>N110/M110*100</f>
        <v>63.16162659799224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1091.2</v>
      </c>
      <c r="G115" s="49">
        <f t="shared" si="37"/>
        <v>-1588.3999999999999</v>
      </c>
      <c r="H115" s="40">
        <f aca="true" t="shared" si="39" ref="H115:H126">F115/E115*100</f>
        <v>40.72249589490969</v>
      </c>
      <c r="I115" s="60">
        <f t="shared" si="38"/>
        <v>-2580.3</v>
      </c>
      <c r="J115" s="60">
        <f aca="true" t="shared" si="40" ref="J115:J121">F115/D115*100</f>
        <v>29.720822552090425</v>
      </c>
      <c r="K115" s="60">
        <f>F115-3077.6</f>
        <v>-1986.3999999999999</v>
      </c>
      <c r="L115" s="138">
        <f>F115/3077.6</f>
        <v>0.35456199636080066</v>
      </c>
      <c r="M115" s="40">
        <f>E115-серпень!E115</f>
        <v>327.5</v>
      </c>
      <c r="N115" s="40">
        <f>F115-серпень!F115</f>
        <v>105.68000000000006</v>
      </c>
      <c r="O115" s="53">
        <f aca="true" t="shared" si="41" ref="O115:O126">N115-M115</f>
        <v>-221.81999999999994</v>
      </c>
      <c r="P115" s="60">
        <f>N115/M115*100</f>
        <v>32.268702290076355</v>
      </c>
      <c r="Q115" s="60">
        <f>N115-150.5</f>
        <v>-44.819999999999936</v>
      </c>
      <c r="R115" s="138">
        <f>N115/150.5</f>
        <v>0.7021926910299008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1326.65</v>
      </c>
      <c r="G117" s="62">
        <f t="shared" si="37"/>
        <v>-1553.4499999999998</v>
      </c>
      <c r="H117" s="72">
        <f t="shared" si="39"/>
        <v>46.06263671400299</v>
      </c>
      <c r="I117" s="61">
        <f t="shared" si="38"/>
        <v>-2612.95</v>
      </c>
      <c r="J117" s="61">
        <f t="shared" si="40"/>
        <v>33.67473855213727</v>
      </c>
      <c r="K117" s="61">
        <f>F117-3299.2</f>
        <v>-1972.5499999999997</v>
      </c>
      <c r="L117" s="139">
        <f>F117/3299.2</f>
        <v>0.40211263336566444</v>
      </c>
      <c r="M117" s="62">
        <f>M115+M116+M114</f>
        <v>349.5</v>
      </c>
      <c r="N117" s="38">
        <f>SUM(N114:N116)</f>
        <v>134.77000000000007</v>
      </c>
      <c r="O117" s="61">
        <f t="shared" si="41"/>
        <v>-214.72999999999993</v>
      </c>
      <c r="P117" s="61">
        <f>N117/M117*100</f>
        <v>38.56080114449215</v>
      </c>
      <c r="Q117" s="61">
        <f>N117-175.8</f>
        <v>-41.029999999999944</v>
      </c>
      <c r="R117" s="139">
        <f>N117/175.8</f>
        <v>0.766609783845279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295.5</v>
      </c>
      <c r="G119" s="49">
        <f t="shared" si="37"/>
        <v>108</v>
      </c>
      <c r="H119" s="40">
        <f t="shared" si="39"/>
        <v>157.6</v>
      </c>
      <c r="I119" s="60">
        <f t="shared" si="38"/>
        <v>28.30000000000001</v>
      </c>
      <c r="J119" s="60">
        <f t="shared" si="40"/>
        <v>110.59131736526946</v>
      </c>
      <c r="K119" s="60">
        <f>F119-174.4</f>
        <v>121.1</v>
      </c>
      <c r="L119" s="138">
        <f>F119/174.4</f>
        <v>1.6943807339449541</v>
      </c>
      <c r="M119" s="40">
        <f>E119-серпень!E119</f>
        <v>5</v>
      </c>
      <c r="N119" s="40">
        <f>F119-серпень!F119</f>
        <v>6.699999999999989</v>
      </c>
      <c r="O119" s="53">
        <f>N119-M119</f>
        <v>1.6999999999999886</v>
      </c>
      <c r="P119" s="60">
        <f>N119/M119*100</f>
        <v>133.99999999999977</v>
      </c>
      <c r="Q119" s="60">
        <f>N119-1.4</f>
        <v>5.299999999999988</v>
      </c>
      <c r="R119" s="138">
        <f>N119/1.4</f>
        <v>4.785714285714278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58829.7</v>
      </c>
      <c r="G120" s="49">
        <f t="shared" si="37"/>
        <v>6317.0999999999985</v>
      </c>
      <c r="H120" s="40">
        <f t="shared" si="39"/>
        <v>112.02968430433839</v>
      </c>
      <c r="I120" s="53">
        <f t="shared" si="38"/>
        <v>-13146.290000000008</v>
      </c>
      <c r="J120" s="60">
        <f t="shared" si="40"/>
        <v>81.73517307646618</v>
      </c>
      <c r="K120" s="60">
        <f>F120-50659.1</f>
        <v>8170.5999999999985</v>
      </c>
      <c r="L120" s="138">
        <f>F120/50659.1</f>
        <v>1.1612859288854323</v>
      </c>
      <c r="M120" s="40">
        <f>E120-серпень!E120</f>
        <v>3100</v>
      </c>
      <c r="N120" s="40">
        <f>F120-серпень!F120</f>
        <v>2715.0699999999997</v>
      </c>
      <c r="O120" s="53">
        <f t="shared" si="41"/>
        <v>-384.9300000000003</v>
      </c>
      <c r="P120" s="60">
        <f aca="true" t="shared" si="42" ref="P120:P125">N120/M120*100</f>
        <v>87.58290322580645</v>
      </c>
      <c r="Q120" s="60">
        <f>N120-3034.9</f>
        <v>-319.8300000000004</v>
      </c>
      <c r="R120" s="138">
        <f>N120/3034.9</f>
        <v>0.8946159675771853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2356.05</v>
      </c>
      <c r="G122" s="49">
        <f t="shared" si="37"/>
        <v>-10571.379999999997</v>
      </c>
      <c r="H122" s="40">
        <f t="shared" si="39"/>
        <v>18.225200213808932</v>
      </c>
      <c r="I122" s="60">
        <f t="shared" si="38"/>
        <v>-20721.08</v>
      </c>
      <c r="J122" s="60">
        <f>F122/D122*100</f>
        <v>10.209458455189186</v>
      </c>
      <c r="K122" s="60">
        <f>F122-22303.9</f>
        <v>-19947.850000000002</v>
      </c>
      <c r="L122" s="138">
        <f>F122/22303.9</f>
        <v>0.10563399226144307</v>
      </c>
      <c r="M122" s="40">
        <f>E122-серпень!E122</f>
        <v>3313.4299999999985</v>
      </c>
      <c r="N122" s="40">
        <f>F122-серпень!F122</f>
        <v>64.26000000000022</v>
      </c>
      <c r="O122" s="53">
        <f t="shared" si="41"/>
        <v>-3249.1699999999983</v>
      </c>
      <c r="P122" s="60">
        <f t="shared" si="42"/>
        <v>1.9393800382081483</v>
      </c>
      <c r="Q122" s="60">
        <f>N122-7566.7</f>
        <v>-7502.44</v>
      </c>
      <c r="R122" s="138">
        <f>N122/7566.7</f>
        <v>0.008492473601437909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941.06</v>
      </c>
      <c r="G123" s="49">
        <f t="shared" si="37"/>
        <v>-490.1600000000001</v>
      </c>
      <c r="H123" s="40">
        <f t="shared" si="39"/>
        <v>65.75229524461648</v>
      </c>
      <c r="I123" s="60">
        <f t="shared" si="38"/>
        <v>-1058.94</v>
      </c>
      <c r="J123" s="60">
        <f>F123/D123*100</f>
        <v>47.053</v>
      </c>
      <c r="K123" s="60">
        <f>F123-1660.3</f>
        <v>-719.24</v>
      </c>
      <c r="L123" s="138">
        <f>F123/1660.3</f>
        <v>0.5668011805095464</v>
      </c>
      <c r="M123" s="40">
        <f>E123-серпень!E123</f>
        <v>189.58999999999992</v>
      </c>
      <c r="N123" s="40">
        <f>F123-серпень!F123</f>
        <v>76.43999999999994</v>
      </c>
      <c r="O123" s="53">
        <f t="shared" si="41"/>
        <v>-113.14999999999998</v>
      </c>
      <c r="P123" s="60">
        <f t="shared" si="42"/>
        <v>40.31858220370271</v>
      </c>
      <c r="Q123" s="60">
        <f>N123-20.2</f>
        <v>56.23999999999994</v>
      </c>
      <c r="R123" s="138">
        <f>N123/20.2</f>
        <v>3.7841584158415813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64177.04</v>
      </c>
      <c r="G124" s="62">
        <f t="shared" si="37"/>
        <v>-4604.709999999999</v>
      </c>
      <c r="H124" s="72">
        <f t="shared" si="39"/>
        <v>93.30533171953316</v>
      </c>
      <c r="I124" s="61">
        <f t="shared" si="38"/>
        <v>-37893.280000000006</v>
      </c>
      <c r="J124" s="61">
        <f>F124/D124*100</f>
        <v>62.87531968156854</v>
      </c>
      <c r="K124" s="61">
        <f>F124-76087.4</f>
        <v>-11910.359999999993</v>
      </c>
      <c r="L124" s="139">
        <f>F124/76087.4</f>
        <v>0.8434647523768719</v>
      </c>
      <c r="M124" s="62">
        <f>M120+M121+M122+M123+M119</f>
        <v>6608.019999999999</v>
      </c>
      <c r="N124" s="62">
        <f>N120+N121+N122+N123+N119</f>
        <v>2862.52</v>
      </c>
      <c r="O124" s="61">
        <f t="shared" si="41"/>
        <v>-3745.4999999999986</v>
      </c>
      <c r="P124" s="61">
        <f t="shared" si="42"/>
        <v>43.318876153522545</v>
      </c>
      <c r="Q124" s="61">
        <f>N124-10790.5</f>
        <v>-7927.98</v>
      </c>
      <c r="R124" s="139">
        <f>N124/10790.5</f>
        <v>0.2652814976136416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7367.5</v>
      </c>
      <c r="G128" s="49">
        <f aca="true" t="shared" si="43" ref="G128:G135">F128-E128</f>
        <v>649</v>
      </c>
      <c r="H128" s="40">
        <f>F128/E128*100</f>
        <v>109.65989432164918</v>
      </c>
      <c r="I128" s="60">
        <f aca="true" t="shared" si="44" ref="I128:I135">F128-D128</f>
        <v>-1332.5</v>
      </c>
      <c r="J128" s="60">
        <f>F128/D128*100</f>
        <v>84.683908045977</v>
      </c>
      <c r="K128" s="60">
        <f>F128-8715.2</f>
        <v>-1347.7000000000007</v>
      </c>
      <c r="L128" s="138">
        <f>F128/8715.2</f>
        <v>0.8453621259408848</v>
      </c>
      <c r="M128" s="40">
        <f>E128-серпень!E128</f>
        <v>1</v>
      </c>
      <c r="N128" s="40">
        <f>F128-серпень!F128</f>
        <v>3.9799999999995634</v>
      </c>
      <c r="O128" s="53">
        <f aca="true" t="shared" si="45" ref="O128:O135">N128-M128</f>
        <v>2.9799999999995634</v>
      </c>
      <c r="P128" s="60">
        <f>N128/M128*100</f>
        <v>397.99999999995634</v>
      </c>
      <c r="Q128" s="60">
        <f>N128-35</f>
        <v>-31.020000000000437</v>
      </c>
      <c r="R128" s="162">
        <f>N128/35</f>
        <v>0.11371428571427324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7402.04</v>
      </c>
      <c r="G130" s="62">
        <f t="shared" si="43"/>
        <v>649.1800000000003</v>
      </c>
      <c r="H130" s="72">
        <f>F130/E130*100</f>
        <v>109.61340824480294</v>
      </c>
      <c r="I130" s="61">
        <f t="shared" si="44"/>
        <v>-1348.6600000000008</v>
      </c>
      <c r="J130" s="61">
        <f>F130/D130*100</f>
        <v>84.58797581907731</v>
      </c>
      <c r="K130" s="61">
        <f>F130-8836.4</f>
        <v>-1434.3599999999997</v>
      </c>
      <c r="L130" s="139">
        <f>G130/8836.4</f>
        <v>0.0734665700964194</v>
      </c>
      <c r="M130" s="62">
        <f>M125+M128+M129+M127</f>
        <v>5</v>
      </c>
      <c r="N130" s="62">
        <f>N125+N128+N129+N127</f>
        <v>4.0199999999995635</v>
      </c>
      <c r="O130" s="61">
        <f t="shared" si="45"/>
        <v>-0.9800000000004365</v>
      </c>
      <c r="P130" s="61">
        <f>N130/M130*100</f>
        <v>80.39999999999127</v>
      </c>
      <c r="Q130" s="61">
        <f>N130-35.8</f>
        <v>-31.780000000000435</v>
      </c>
      <c r="R130" s="137">
        <f>N130/35.8</f>
        <v>0.11229050279328391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24</v>
      </c>
      <c r="G131" s="49">
        <f>F131-E131</f>
        <v>0.5500000000000007</v>
      </c>
      <c r="H131" s="40">
        <f>F131/E131*100</f>
        <v>102.3454157782516</v>
      </c>
      <c r="I131" s="60">
        <f>F131-D131</f>
        <v>-6</v>
      </c>
      <c r="J131" s="60">
        <f>F131/D131*100</f>
        <v>80</v>
      </c>
      <c r="K131" s="60">
        <f>F131-25.4</f>
        <v>-1.3999999999999986</v>
      </c>
      <c r="L131" s="138">
        <f>F131/25.4</f>
        <v>0.9448818897637796</v>
      </c>
      <c r="M131" s="40">
        <f>E131-серпень!E131</f>
        <v>7</v>
      </c>
      <c r="N131" s="40">
        <f>F131-серпень!F131</f>
        <v>1.379999999999999</v>
      </c>
      <c r="O131" s="53">
        <f>N131-M131</f>
        <v>-5.620000000000001</v>
      </c>
      <c r="P131" s="60">
        <f>N131/M131*100</f>
        <v>19.7142857142857</v>
      </c>
      <c r="Q131" s="60">
        <f>N131-7.6</f>
        <v>-6.220000000000001</v>
      </c>
      <c r="R131" s="138">
        <f>N131/7.6</f>
        <v>0.18157894736842092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72929.73</v>
      </c>
      <c r="G134" s="50">
        <f t="shared" si="43"/>
        <v>-5508.430000000008</v>
      </c>
      <c r="H134" s="51">
        <f>F134/E134*100</f>
        <v>92.97735948930979</v>
      </c>
      <c r="I134" s="36">
        <f t="shared" si="44"/>
        <v>-41860.890000000014</v>
      </c>
      <c r="J134" s="36">
        <f>F134/D134*100</f>
        <v>63.532830469946056</v>
      </c>
      <c r="K134" s="36">
        <f>F134-88248.3</f>
        <v>-15318.570000000007</v>
      </c>
      <c r="L134" s="136">
        <f>F134/88248.3</f>
        <v>0.8264151264103671</v>
      </c>
      <c r="M134" s="31">
        <f>M117+M131+M124+M130+M133+M132</f>
        <v>6969.519999999999</v>
      </c>
      <c r="N134" s="31">
        <f>N117+N131+N124+N130+N133+N132</f>
        <v>3002.6899999999996</v>
      </c>
      <c r="O134" s="36">
        <f t="shared" si="45"/>
        <v>-3966.829999999999</v>
      </c>
      <c r="P134" s="36">
        <f>N134/M134*100</f>
        <v>43.08316785087065</v>
      </c>
      <c r="Q134" s="36">
        <f>N134-11009.7</f>
        <v>-8007.010000000001</v>
      </c>
      <c r="R134" s="136">
        <f>N134/11009.7</f>
        <v>0.2727313187461965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442001.1599999999</v>
      </c>
      <c r="F135" s="31">
        <f>F107+F134</f>
        <v>413720.94999999995</v>
      </c>
      <c r="G135" s="50">
        <f t="shared" si="43"/>
        <v>-28280.209999999963</v>
      </c>
      <c r="H135" s="51">
        <f>F135/E135*100</f>
        <v>93.60177923514954</v>
      </c>
      <c r="I135" s="36">
        <f t="shared" si="44"/>
        <v>-207949.27000000002</v>
      </c>
      <c r="J135" s="36">
        <f>F135/D135*100</f>
        <v>66.54990647613778</v>
      </c>
      <c r="K135" s="36">
        <f>F135-447136.8</f>
        <v>-33415.850000000035</v>
      </c>
      <c r="L135" s="136">
        <f>F135/447136.8</f>
        <v>0.9252670547358213</v>
      </c>
      <c r="M135" s="22">
        <f>M107+M134</f>
        <v>47898.42999999999</v>
      </c>
      <c r="N135" s="22">
        <f>N107+N134</f>
        <v>26230.809999999998</v>
      </c>
      <c r="O135" s="36">
        <f t="shared" si="45"/>
        <v>-21667.619999999995</v>
      </c>
      <c r="P135" s="36">
        <f>N135/M135*100</f>
        <v>54.7634024747784</v>
      </c>
      <c r="Q135" s="36">
        <f>N135-50142.9</f>
        <v>-23912.090000000004</v>
      </c>
      <c r="R135" s="136">
        <f>N135/50142.9</f>
        <v>0.5231211198394986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7</v>
      </c>
      <c r="D137" s="4" t="s">
        <v>118</v>
      </c>
    </row>
    <row r="138" spans="2:17" ht="31.5">
      <c r="B138" s="78" t="s">
        <v>154</v>
      </c>
      <c r="C138" s="39">
        <f>IF(O107&lt;0,ABS(O107/C137),0)</f>
        <v>2528.684285714285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41901</v>
      </c>
      <c r="D139" s="39">
        <v>2235</v>
      </c>
      <c r="N139" s="209"/>
      <c r="O139" s="209"/>
    </row>
    <row r="140" spans="3:15" ht="15.75">
      <c r="C140" s="120">
        <v>41900</v>
      </c>
      <c r="D140" s="39">
        <v>1209.5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41899</v>
      </c>
      <c r="D141" s="39">
        <v>928.2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'[1]залишки  (2)'!$G$6/1000</f>
        <v>121915.08296</v>
      </c>
      <c r="E143" s="80"/>
      <c r="F143" s="100" t="s">
        <v>147</v>
      </c>
      <c r="G143" s="210" t="s">
        <v>149</v>
      </c>
      <c r="H143" s="210"/>
      <c r="I143" s="116">
        <f>'[1]залишки  (2)'!$G$10/1000</f>
        <v>112894.48642999999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'[1]надх'!$B$52/1000</f>
        <v>17126.613649999996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17126.613649999996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2014-09-22T08:32:54Z</cp:lastPrinted>
  <dcterms:created xsi:type="dcterms:W3CDTF">2003-07-28T11:27:56Z</dcterms:created>
  <dcterms:modified xsi:type="dcterms:W3CDTF">2014-09-22T08:38:00Z</dcterms:modified>
  <cp:category/>
  <cp:version/>
  <cp:contentType/>
  <cp:contentStatus/>
</cp:coreProperties>
</file>